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iapires/Documents/"/>
    </mc:Choice>
  </mc:AlternateContent>
  <xr:revisionPtr revIDLastSave="0" documentId="13_ncr:1_{80C8DF66-B510-5244-9677-B189831125C9}" xr6:coauthVersionLast="43" xr6:coauthVersionMax="43" xr10:uidLastSave="{00000000-0000-0000-0000-000000000000}"/>
  <bookViews>
    <workbookView xWindow="18840" yWindow="1440" windowWidth="31320" windowHeight="26460" xr2:uid="{DAE3BCBA-1A88-48D4-B81D-C2F2015EF089}"/>
  </bookViews>
  <sheets>
    <sheet name="Dev Appraisal " sheetId="1" r:id="rId1"/>
    <sheet name="Sheet1" sheetId="3" state="hidden" r:id="rId2"/>
  </sheets>
  <definedNames>
    <definedName name="_xlnm.Print_Area" localSheetId="0">'Dev Appraisal '!$A$1:$E$84</definedName>
    <definedName name="Purchase_price">Sheet1!$E$7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" i="1" l="1"/>
  <c r="E11" i="1" l="1"/>
  <c r="B67" i="1"/>
  <c r="B66" i="1"/>
  <c r="B65" i="1"/>
  <c r="B59" i="1"/>
  <c r="B47" i="1"/>
  <c r="B46" i="1"/>
  <c r="B48" i="1"/>
  <c r="B45" i="1"/>
  <c r="B30" i="1"/>
  <c r="B29" i="1"/>
  <c r="C7" i="3"/>
  <c r="B25" i="1" s="1"/>
  <c r="B79" i="1"/>
  <c r="B78" i="1"/>
  <c r="B77" i="1"/>
  <c r="B31" i="1"/>
  <c r="B80" i="1" l="1"/>
  <c r="D73" i="1" s="1"/>
  <c r="B32" i="1" l="1"/>
  <c r="B26" i="1"/>
  <c r="D21" i="1" l="1"/>
  <c r="B39" i="1" l="1"/>
  <c r="B40" i="1"/>
  <c r="B41" i="1"/>
  <c r="B49" i="1"/>
  <c r="B53" i="1"/>
  <c r="B60" i="1"/>
  <c r="D34" i="1" s="1"/>
  <c r="B70" i="1"/>
  <c r="B68" i="1"/>
  <c r="B56" i="1" l="1"/>
  <c r="B71" i="1"/>
  <c r="D62" i="1" s="1"/>
  <c r="B42" i="1"/>
  <c r="E82" i="1" l="1"/>
  <c r="E84" i="1" l="1"/>
  <c r="E8" i="1" s="1"/>
  <c r="E10" i="1"/>
  <c r="E12" i="1"/>
  <c r="E9" i="1"/>
</calcChain>
</file>

<file path=xl/sharedStrings.xml><?xml version="1.0" encoding="utf-8"?>
<sst xmlns="http://schemas.openxmlformats.org/spreadsheetml/2006/main" count="96" uniqueCount="84">
  <si>
    <t>Site address:</t>
  </si>
  <si>
    <t>Borrower:</t>
  </si>
  <si>
    <t>Land Purchase</t>
  </si>
  <si>
    <t>Land Cost</t>
  </si>
  <si>
    <t>Construction Costs</t>
  </si>
  <si>
    <t>Fees</t>
  </si>
  <si>
    <t>Contingencies</t>
  </si>
  <si>
    <t>Finance</t>
  </si>
  <si>
    <t>Site Preparation</t>
  </si>
  <si>
    <t>Bank Legal Fees</t>
  </si>
  <si>
    <t>Legal fees on purchase</t>
  </si>
  <si>
    <t>Planning permission S106/CIL</t>
  </si>
  <si>
    <t>Building Regulations</t>
  </si>
  <si>
    <t>New Build Guarantee</t>
  </si>
  <si>
    <t>Developers Profit</t>
  </si>
  <si>
    <t>Finance Cost</t>
  </si>
  <si>
    <t>Valuer/QS Fees</t>
  </si>
  <si>
    <t>Developers Legal Fee</t>
  </si>
  <si>
    <t>Bank Arrangment Fee</t>
  </si>
  <si>
    <t>Site clearance/demolition</t>
  </si>
  <si>
    <t>Other Finance Fees</t>
  </si>
  <si>
    <t>2% of gross loan amount</t>
  </si>
  <si>
    <t>Assume 2% of Land cost if unknown</t>
  </si>
  <si>
    <t>Assume 5% of total construction cost if unknown</t>
  </si>
  <si>
    <t>Assume 10% of total construction cost if unknown</t>
  </si>
  <si>
    <t>Project Management Fees</t>
  </si>
  <si>
    <t>Assume 2% of total construction cost if unknown</t>
  </si>
  <si>
    <t xml:space="preserve">Buildings Insurance </t>
  </si>
  <si>
    <t>Inc title insurance, bank transfer fees, additional broker fees</t>
  </si>
  <si>
    <t>Assume 5-10% of total construction cost if unknown</t>
  </si>
  <si>
    <t>inc hoarding, HSE, signage,office, compound, lighting, phone, water, electricity, site welfare, skip hire, labour, cranes, forklifts</t>
  </si>
  <si>
    <t>inc snagging, pre-sale clean, furnishing (if applicable)</t>
  </si>
  <si>
    <t>Other fees</t>
  </si>
  <si>
    <t>inc structural engineers, environmental surveys, arborocultrual consultants, highway consultants, M&amp;E engineer</t>
  </si>
  <si>
    <t>Other costs</t>
  </si>
  <si>
    <t>External and Landscaping</t>
  </si>
  <si>
    <t>inc roadways, garden fencing, retained walls, tree surgery, topsoil &amp; turf, planting</t>
  </si>
  <si>
    <t>inc foundations, brickwork, roofing,  M&amp;E, plastering, carpentry, tliling, kitchens, bathrooms, flooring, heating, plumbing</t>
  </si>
  <si>
    <t xml:space="preserve">inc machinery, removal, labour, </t>
  </si>
  <si>
    <t>SDLT</t>
  </si>
  <si>
    <t>DEVELOPMENT INFORMATION</t>
  </si>
  <si>
    <t>APPRAISAL</t>
  </si>
  <si>
    <t>LOAN INFORMATION</t>
  </si>
  <si>
    <t>KEY METRICS</t>
  </si>
  <si>
    <t>Anticpated start date on site:</t>
  </si>
  <si>
    <t>Anticipated completion date on site:</t>
  </si>
  <si>
    <t>Gross Loan amount:</t>
  </si>
  <si>
    <t>Interest rate (per month)</t>
  </si>
  <si>
    <t>Term of Loan (months):</t>
  </si>
  <si>
    <t>Less purchase costs:</t>
  </si>
  <si>
    <t>Survey / valuation</t>
  </si>
  <si>
    <t>Stamp duty (SDLT)</t>
  </si>
  <si>
    <t>Less development costs:</t>
  </si>
  <si>
    <t>TOTAL</t>
  </si>
  <si>
    <t>Gross Development Value (GDV):</t>
  </si>
  <si>
    <t>Building works</t>
  </si>
  <si>
    <t>Construction contingency</t>
  </si>
  <si>
    <t>Architects fees</t>
  </si>
  <si>
    <t>Quantity surveyors</t>
  </si>
  <si>
    <t>Less sales costs:</t>
  </si>
  <si>
    <t>Marketing costs</t>
  </si>
  <si>
    <t>Legal and disbursements</t>
  </si>
  <si>
    <t>Agents fees</t>
  </si>
  <si>
    <t>Assume 1.5% of GDV if unknown</t>
  </si>
  <si>
    <t>Assume 0.2% of GDV if unknown</t>
  </si>
  <si>
    <t>Warranties</t>
  </si>
  <si>
    <t>Assume 0.35% of GDV if unknown</t>
  </si>
  <si>
    <t>Assume 0.5% of GDV if unknown</t>
  </si>
  <si>
    <t>Less finance costs:</t>
  </si>
  <si>
    <t>Total Costs</t>
  </si>
  <si>
    <t>Sales fees &amp; other costs</t>
  </si>
  <si>
    <t>Return on sales:</t>
  </si>
  <si>
    <t>Return on cost:</t>
  </si>
  <si>
    <t xml:space="preserve">Loan to Total Cost: </t>
  </si>
  <si>
    <t>Loan to GDV:</t>
  </si>
  <si>
    <t>Return on investment:</t>
  </si>
  <si>
    <t>plus 2500</t>
  </si>
  <si>
    <t>plus 36250</t>
  </si>
  <si>
    <t>plus 93750</t>
  </si>
  <si>
    <t>SDLT resi.</t>
  </si>
  <si>
    <t>Assume 0.1% of purchase price</t>
  </si>
  <si>
    <t>Assume 1% of land cost (inc broker fees, freeholder costs etc)</t>
  </si>
  <si>
    <t>Assume 65% of GDV @ 1.1% per month if unknown</t>
  </si>
  <si>
    <t>Assume 0.2% of gross laon amount if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</si>
</sst>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£&quot;#,##0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 Narrow"/>
      <family val="2"/>
    </font>
    <font>
      <sz val="10"/>
      <color theme="0" tint="-0.499984740745262"/>
      <name val="Arial Narrow"/>
      <family val="2"/>
    </font>
    <font>
      <b/>
      <sz val="10"/>
      <color theme="1"/>
      <name val="Arial"/>
      <family val="2"/>
    </font>
    <font>
      <b/>
      <sz val="10"/>
      <color rgb="FFDC582A"/>
      <name val="Arial"/>
      <family val="2"/>
    </font>
    <font>
      <sz val="10"/>
      <color rgb="FFDC582A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2A3A"/>
        <bgColor indexed="64"/>
      </patternFill>
    </fill>
    <fill>
      <patternFill patternType="solid">
        <fgColor rgb="FFDC58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3" tint="0.5999938962981048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3" tint="0.59999389629810485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7" fillId="0" borderId="0" xfId="0" applyNumberFormat="1" applyFont="1" applyAlignment="1">
      <alignment horizontal="center"/>
    </xf>
    <xf numFmtId="167" fontId="1" fillId="0" borderId="0" xfId="3" applyNumberFormat="1" applyAlignment="1">
      <alignment horizontal="center"/>
    </xf>
    <xf numFmtId="9" fontId="0" fillId="0" borderId="0" xfId="4" applyFont="1"/>
    <xf numFmtId="3" fontId="0" fillId="0" borderId="0" xfId="0" applyNumberFormat="1"/>
    <xf numFmtId="167" fontId="1" fillId="0" borderId="0" xfId="3" applyNumberFormat="1"/>
    <xf numFmtId="0" fontId="15" fillId="0" borderId="0" xfId="0" applyFont="1"/>
    <xf numFmtId="165" fontId="0" fillId="0" borderId="0" xfId="3" applyFont="1"/>
    <xf numFmtId="164" fontId="0" fillId="0" borderId="0" xfId="0" applyNumberFormat="1"/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6" fillId="5" borderId="2" xfId="0" applyFont="1" applyFill="1" applyBorder="1" applyAlignment="1" applyProtection="1">
      <alignment horizontal="left" vertical="center" wrapText="1" indent="1"/>
      <protection locked="0"/>
    </xf>
    <xf numFmtId="0" fontId="16" fillId="4" borderId="0" xfId="0" applyFont="1" applyFill="1" applyAlignment="1" applyProtection="1">
      <alignment horizontal="left" vertical="center" wrapText="1" indent="1"/>
      <protection locked="0"/>
    </xf>
    <xf numFmtId="0" fontId="6" fillId="4" borderId="0" xfId="0" applyFont="1" applyFill="1" applyAlignment="1" applyProtection="1">
      <alignment horizontal="left" vertical="center" wrapText="1" indent="1"/>
      <protection locked="0"/>
    </xf>
    <xf numFmtId="10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Protection="1">
      <protection locked="0"/>
    </xf>
    <xf numFmtId="164" fontId="13" fillId="0" borderId="0" xfId="1" quotePrefix="1" applyFont="1" applyProtection="1">
      <protection locked="0"/>
    </xf>
    <xf numFmtId="0" fontId="14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4" fillId="3" borderId="0" xfId="0" applyFont="1" applyFill="1" applyAlignment="1" applyProtection="1">
      <alignment vertical="center"/>
      <protection locked="0"/>
    </xf>
    <xf numFmtId="10" fontId="6" fillId="5" borderId="0" xfId="4" applyNumberFormat="1" applyFont="1" applyFill="1" applyAlignment="1" applyProtection="1">
      <alignment horizontal="right" vertical="center" wrapText="1" indent="1"/>
    </xf>
    <xf numFmtId="10" fontId="10" fillId="0" borderId="0" xfId="4" applyNumberFormat="1" applyFont="1" applyAlignment="1" applyProtection="1">
      <alignment horizontal="right" vertical="center"/>
    </xf>
    <xf numFmtId="0" fontId="13" fillId="0" borderId="0" xfId="0" applyFont="1" applyProtection="1"/>
    <xf numFmtId="164" fontId="13" fillId="0" borderId="0" xfId="1" quotePrefix="1" applyFont="1" applyProtection="1"/>
    <xf numFmtId="0" fontId="2" fillId="0" borderId="0" xfId="0" applyFont="1" applyProtection="1"/>
    <xf numFmtId="0" fontId="9" fillId="0" borderId="0" xfId="0" applyFont="1" applyProtection="1"/>
    <xf numFmtId="0" fontId="8" fillId="0" borderId="0" xfId="0" applyFont="1" applyProtection="1"/>
    <xf numFmtId="164" fontId="14" fillId="0" borderId="0" xfId="1" quotePrefix="1" applyFont="1" applyProtection="1"/>
    <xf numFmtId="0" fontId="14" fillId="0" borderId="0" xfId="0" applyFont="1" applyProtection="1"/>
    <xf numFmtId="166" fontId="7" fillId="0" borderId="0" xfId="0" applyNumberFormat="1" applyFont="1" applyProtection="1"/>
    <xf numFmtId="0" fontId="2" fillId="0" borderId="4" xfId="0" applyFont="1" applyBorder="1" applyProtection="1"/>
    <xf numFmtId="164" fontId="7" fillId="0" borderId="0" xfId="1" applyFont="1" applyProtection="1"/>
    <xf numFmtId="164" fontId="14" fillId="0" borderId="0" xfId="1" applyFont="1" applyAlignment="1" applyProtection="1">
      <alignment horizontal="right"/>
    </xf>
    <xf numFmtId="164" fontId="2" fillId="0" borderId="0" xfId="1" applyFont="1" applyAlignment="1" applyProtection="1">
      <alignment horizontal="right"/>
    </xf>
    <xf numFmtId="164" fontId="2" fillId="0" borderId="4" xfId="1" applyFont="1" applyBorder="1" applyAlignment="1" applyProtection="1">
      <alignment horizontal="right"/>
    </xf>
    <xf numFmtId="166" fontId="13" fillId="0" borderId="0" xfId="0" applyNumberFormat="1" applyFont="1" applyProtection="1"/>
    <xf numFmtId="164" fontId="7" fillId="0" borderId="0" xfId="1" applyFont="1" applyAlignment="1" applyProtection="1">
      <alignment horizontal="right"/>
    </xf>
    <xf numFmtId="164" fontId="15" fillId="0" borderId="0" xfId="1" applyFont="1" applyProtection="1"/>
    <xf numFmtId="164" fontId="7" fillId="0" borderId="4" xfId="1" applyFont="1" applyBorder="1" applyAlignment="1" applyProtection="1">
      <alignment horizontal="right"/>
    </xf>
    <xf numFmtId="0" fontId="4" fillId="3" borderId="0" xfId="0" applyFont="1" applyFill="1" applyAlignment="1" applyProtection="1">
      <alignment vertical="center"/>
    </xf>
    <xf numFmtId="164" fontId="5" fillId="3" borderId="0" xfId="1" quotePrefix="1" applyFont="1" applyFill="1" applyAlignment="1" applyProtection="1">
      <alignment vertical="center"/>
    </xf>
    <xf numFmtId="0" fontId="10" fillId="0" borderId="0" xfId="0" applyFont="1" applyProtection="1"/>
    <xf numFmtId="0" fontId="13" fillId="0" borderId="1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left" indent="1"/>
    </xf>
    <xf numFmtId="0" fontId="14" fillId="0" borderId="1" xfId="0" applyFont="1" applyBorder="1" applyAlignment="1" applyProtection="1">
      <alignment horizontal="left" indent="1"/>
    </xf>
    <xf numFmtId="0" fontId="7" fillId="0" borderId="1" xfId="0" applyFont="1" applyBorder="1" applyAlignment="1" applyProtection="1">
      <alignment horizontal="left" indent="2"/>
    </xf>
    <xf numFmtId="0" fontId="2" fillId="0" borderId="1" xfId="0" applyFont="1" applyBorder="1" applyAlignment="1" applyProtection="1">
      <alignment horizontal="left" indent="3"/>
    </xf>
    <xf numFmtId="0" fontId="2" fillId="0" borderId="3" xfId="0" applyFont="1" applyBorder="1" applyAlignment="1" applyProtection="1">
      <alignment horizontal="left" indent="3"/>
    </xf>
    <xf numFmtId="0" fontId="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 indent="2"/>
    </xf>
    <xf numFmtId="0" fontId="2" fillId="0" borderId="1" xfId="0" quotePrefix="1" applyFont="1" applyBorder="1" applyAlignment="1" applyProtection="1">
      <alignment horizontal="left" indent="3"/>
    </xf>
    <xf numFmtId="0" fontId="2" fillId="0" borderId="3" xfId="0" quotePrefix="1" applyFont="1" applyBorder="1" applyAlignment="1" applyProtection="1">
      <alignment horizontal="left" indent="3"/>
    </xf>
    <xf numFmtId="0" fontId="12" fillId="0" borderId="1" xfId="0" applyFont="1" applyBorder="1" applyAlignment="1" applyProtection="1">
      <alignment horizontal="left" indent="1"/>
    </xf>
    <xf numFmtId="0" fontId="5" fillId="3" borderId="1" xfId="0" applyFont="1" applyFill="1" applyBorder="1" applyAlignment="1" applyProtection="1">
      <alignment horizontal="left" vertical="center" indent="1"/>
    </xf>
    <xf numFmtId="0" fontId="5" fillId="3" borderId="0" xfId="2" applyFont="1" applyFill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 indent="1"/>
    </xf>
    <xf numFmtId="0" fontId="16" fillId="4" borderId="0" xfId="0" applyFont="1" applyFill="1" applyAlignment="1" applyProtection="1">
      <alignment horizontal="left" vertical="center" wrapText="1" indent="1"/>
    </xf>
    <xf numFmtId="0" fontId="6" fillId="5" borderId="0" xfId="0" applyFont="1" applyFill="1" applyAlignment="1" applyProtection="1">
      <alignment horizontal="left" vertical="center" wrapText="1" inden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indent="1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6" fillId="5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14" fontId="10" fillId="5" borderId="0" xfId="0" applyNumberFormat="1" applyFont="1" applyFill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vertical="center"/>
      <protection locked="0"/>
    </xf>
    <xf numFmtId="164" fontId="6" fillId="5" borderId="0" xfId="1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10" fontId="6" fillId="5" borderId="0" xfId="4" applyNumberFormat="1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164" fontId="14" fillId="0" borderId="0" xfId="1" applyFont="1" applyAlignment="1" applyProtection="1">
      <protection locked="0"/>
    </xf>
    <xf numFmtId="164" fontId="2" fillId="0" borderId="0" xfId="1" quotePrefix="1" applyFont="1" applyAlignment="1" applyProtection="1">
      <protection locked="0"/>
    </xf>
    <xf numFmtId="164" fontId="2" fillId="0" borderId="4" xfId="1" quotePrefix="1" applyFont="1" applyBorder="1" applyAlignment="1" applyProtection="1">
      <protection locked="0"/>
    </xf>
    <xf numFmtId="164" fontId="15" fillId="0" borderId="0" xfId="1" applyFont="1" applyAlignment="1" applyProtection="1">
      <protection locked="0"/>
    </xf>
    <xf numFmtId="164" fontId="2" fillId="0" borderId="0" xfId="1" applyFont="1" applyAlignment="1" applyProtection="1">
      <protection locked="0"/>
    </xf>
    <xf numFmtId="164" fontId="4" fillId="3" borderId="0" xfId="1" applyFont="1" applyFill="1" applyAlignment="1" applyProtection="1">
      <alignment vertical="center"/>
      <protection locked="0"/>
    </xf>
  </cellXfs>
  <cellStyles count="5">
    <cellStyle name="Comma" xfId="3" builtinId="3"/>
    <cellStyle name="Currency" xfId="1" builtinId="4"/>
    <cellStyle name="Normal" xfId="0" builtinId="0"/>
    <cellStyle name="Normal 3" xfId="2" xr:uid="{08813D10-2FC8-41B0-9E9B-BF17E84521C1}"/>
    <cellStyle name="Percent" xfId="4" builtinId="5"/>
  </cellStyles>
  <dxfs count="0"/>
  <tableStyles count="0" defaultTableStyle="TableStyleMedium2" defaultPivotStyle="PivotStyleLight16"/>
  <colors>
    <mruColors>
      <color rgb="FFDC5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1943100</xdr:colOff>
      <xdr:row>1</xdr:row>
      <xdr:rowOff>0</xdr:rowOff>
    </xdr:from>
    <xdr:to>
      <xdr:col>4</xdr:col>
      <xdr:colOff>1485899</xdr:colOff>
      <xdr:row>2</xdr:row>
      <xdr:rowOff>140707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1AE5C6-CD1A-4CF2-8BBA-AC0947467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61925"/>
          <a:ext cx="1857374" cy="340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562D-99B7-4377-9BF2-9DAD94944304}">
  <sheetPr>
    <pageSetUpPr fitToPage="1"/>
  </sheetPr>
  <dimension ref="A1:S84"/>
  <sheetViews>
    <sheetView showGridLines="0" tabSelected="1" zoomScaleNormal="100" workbookViewId="0">
      <selection activeCell="D13" sqref="D13"/>
    </sheetView>
  </sheetViews>
  <sheetFormatPr baseColWidth="10" defaultColWidth="9.1640625" defaultRowHeight="13" x14ac:dyDescent="0.15"/>
  <cols>
    <col min="1" max="1" width="34.6640625" style="9" customWidth="1"/>
    <col min="2" max="2" width="25.33203125" style="76" customWidth="1"/>
    <col min="3" max="3" width="3.83203125" style="9" customWidth="1"/>
    <col min="4" max="4" width="34.6640625" style="9" customWidth="1"/>
    <col min="5" max="5" width="25.83203125" style="9" customWidth="1"/>
    <col min="6" max="6" width="9.1640625" style="9"/>
    <col min="7" max="7" width="8.83203125" style="10" customWidth="1"/>
    <col min="8" max="16384" width="9.1640625" style="9"/>
  </cols>
  <sheetData>
    <row r="1" spans="1:7" x14ac:dyDescent="0.15">
      <c r="A1" s="60"/>
      <c r="B1" s="60"/>
      <c r="C1" s="60"/>
      <c r="D1" s="61"/>
      <c r="E1" s="61"/>
    </row>
    <row r="2" spans="1:7" ht="16" x14ac:dyDescent="0.15">
      <c r="A2" s="62" t="s">
        <v>40</v>
      </c>
      <c r="B2" s="60"/>
      <c r="C2" s="60"/>
      <c r="D2" s="63"/>
      <c r="E2" s="61"/>
    </row>
    <row r="3" spans="1:7" x14ac:dyDescent="0.15">
      <c r="A3" s="64" t="s">
        <v>41</v>
      </c>
      <c r="B3" s="60"/>
      <c r="C3" s="60"/>
      <c r="D3" s="63"/>
      <c r="E3" s="61"/>
    </row>
    <row r="4" spans="1:7" ht="11.75" customHeight="1" x14ac:dyDescent="0.15">
      <c r="A4" s="60"/>
      <c r="B4" s="60"/>
      <c r="C4" s="60"/>
      <c r="D4" s="61"/>
      <c r="E4" s="61"/>
    </row>
    <row r="5" spans="1:7" s="11" customFormat="1" x14ac:dyDescent="0.15">
      <c r="A5" s="43"/>
      <c r="B5" s="66"/>
      <c r="C5" s="43"/>
      <c r="D5" s="43"/>
      <c r="E5" s="43"/>
      <c r="G5" s="12"/>
    </row>
    <row r="6" spans="1:7" s="11" customFormat="1" ht="21" customHeight="1" x14ac:dyDescent="0.15">
      <c r="A6" s="56" t="s">
        <v>42</v>
      </c>
      <c r="B6" s="56"/>
      <c r="C6" s="65"/>
      <c r="D6" s="56" t="s">
        <v>43</v>
      </c>
      <c r="E6" s="56"/>
      <c r="G6" s="12"/>
    </row>
    <row r="7" spans="1:7" s="11" customFormat="1" x14ac:dyDescent="0.15">
      <c r="A7" s="43"/>
      <c r="B7" s="66"/>
      <c r="C7" s="43"/>
      <c r="D7" s="43"/>
      <c r="E7" s="43"/>
      <c r="G7" s="12"/>
    </row>
    <row r="8" spans="1:7" ht="27.5" customHeight="1" x14ac:dyDescent="0.15">
      <c r="A8" s="57" t="s">
        <v>1</v>
      </c>
      <c r="B8" s="67"/>
      <c r="D8" s="13" t="s">
        <v>71</v>
      </c>
      <c r="E8" s="22">
        <f>E84/E19</f>
        <v>0.15261666666666668</v>
      </c>
    </row>
    <row r="9" spans="1:7" ht="27.5" customHeight="1" x14ac:dyDescent="0.15">
      <c r="A9" s="58" t="s">
        <v>0</v>
      </c>
      <c r="B9" s="68"/>
      <c r="D9" s="14" t="s">
        <v>72</v>
      </c>
      <c r="E9" s="23">
        <f>E84/-E82</f>
        <v>0.18010345573628622</v>
      </c>
    </row>
    <row r="10" spans="1:7" ht="24.5" customHeight="1" x14ac:dyDescent="0.15">
      <c r="A10" s="57" t="s">
        <v>44</v>
      </c>
      <c r="B10" s="69"/>
      <c r="D10" s="13" t="s">
        <v>73</v>
      </c>
      <c r="E10" s="22">
        <f>-(65%*E19)/(E82-B80)</f>
        <v>0.74465850724610005</v>
      </c>
    </row>
    <row r="11" spans="1:7" ht="27.5" customHeight="1" x14ac:dyDescent="0.15">
      <c r="A11" s="58" t="s">
        <v>45</v>
      </c>
      <c r="B11" s="70"/>
      <c r="D11" s="14" t="s">
        <v>74</v>
      </c>
      <c r="E11" s="23">
        <f>(65%*E19)/E19</f>
        <v>0.65</v>
      </c>
    </row>
    <row r="12" spans="1:7" ht="26" customHeight="1" x14ac:dyDescent="0.15">
      <c r="A12" s="57" t="s">
        <v>46</v>
      </c>
      <c r="B12" s="71">
        <v>600000</v>
      </c>
      <c r="D12" s="13" t="s">
        <v>75</v>
      </c>
      <c r="E12" s="22">
        <f>-E84/(E82-D62)</f>
        <v>0.21254158607350096</v>
      </c>
    </row>
    <row r="13" spans="1:7" ht="24.5" customHeight="1" x14ac:dyDescent="0.15">
      <c r="A13" s="58" t="s">
        <v>48</v>
      </c>
      <c r="B13" s="72">
        <v>15</v>
      </c>
      <c r="D13" s="15"/>
      <c r="E13" s="16"/>
    </row>
    <row r="14" spans="1:7" ht="24.5" customHeight="1" x14ac:dyDescent="0.15">
      <c r="A14" s="59" t="s">
        <v>47</v>
      </c>
      <c r="B14" s="73">
        <v>1.0999999999999999E-2</v>
      </c>
      <c r="D14" s="15"/>
      <c r="E14" s="16"/>
    </row>
    <row r="17" spans="1:19" s="11" customFormat="1" ht="21" customHeight="1" x14ac:dyDescent="0.15">
      <c r="A17" s="56" t="s">
        <v>41</v>
      </c>
      <c r="B17" s="56"/>
      <c r="C17" s="56"/>
      <c r="D17" s="56"/>
      <c r="E17" s="56"/>
      <c r="G17" s="12"/>
    </row>
    <row r="18" spans="1:19" s="11" customFormat="1" x14ac:dyDescent="0.15">
      <c r="A18" s="43"/>
      <c r="B18" s="74"/>
      <c r="G18" s="12"/>
    </row>
    <row r="19" spans="1:19" x14ac:dyDescent="0.15">
      <c r="A19" s="44" t="s">
        <v>54</v>
      </c>
      <c r="B19" s="75"/>
      <c r="C19" s="17"/>
      <c r="D19" s="24"/>
      <c r="E19" s="18">
        <v>900000</v>
      </c>
      <c r="F19" s="26"/>
      <c r="G19" s="2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15">
      <c r="A20" s="45"/>
      <c r="D20" s="26"/>
      <c r="E20" s="26"/>
      <c r="F20" s="26"/>
      <c r="G20" s="2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x14ac:dyDescent="0.15">
      <c r="A21" s="46" t="s">
        <v>49</v>
      </c>
      <c r="D21" s="29">
        <f>-(B26+B32)</f>
        <v>-314300</v>
      </c>
      <c r="E21" s="26"/>
      <c r="F21" s="26"/>
      <c r="G21" s="2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15">
      <c r="A22" s="45"/>
      <c r="D22" s="26"/>
      <c r="E22" s="26"/>
      <c r="F22" s="26"/>
      <c r="G22" s="28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x14ac:dyDescent="0.15">
      <c r="A23" s="47" t="s">
        <v>2</v>
      </c>
      <c r="B23" s="77"/>
      <c r="C23" s="19"/>
      <c r="D23" s="30"/>
      <c r="E23" s="26"/>
      <c r="F23" s="26"/>
      <c r="G23" s="28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x14ac:dyDescent="0.15">
      <c r="A24" s="48" t="s">
        <v>3</v>
      </c>
      <c r="B24" s="78">
        <v>300000</v>
      </c>
      <c r="D24" s="31"/>
      <c r="E24" s="26"/>
      <c r="F24" s="26"/>
      <c r="G24" s="2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x14ac:dyDescent="0.15">
      <c r="A25" s="49" t="s">
        <v>51</v>
      </c>
      <c r="B25" s="79">
        <f>Sheet1!C7</f>
        <v>5000</v>
      </c>
      <c r="C25" s="20"/>
      <c r="D25" s="32"/>
      <c r="E25" s="26"/>
      <c r="F25" s="26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x14ac:dyDescent="0.15">
      <c r="A26" s="50" t="s">
        <v>53</v>
      </c>
      <c r="B26" s="80">
        <f>SUM(B24:B25)</f>
        <v>305000</v>
      </c>
      <c r="D26" s="26"/>
      <c r="E26" s="26"/>
      <c r="F26" s="26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15">
      <c r="A27" s="51"/>
      <c r="B27" s="78"/>
      <c r="D27" s="33"/>
      <c r="E27" s="26"/>
      <c r="F27" s="26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x14ac:dyDescent="0.15">
      <c r="A28" s="47" t="s">
        <v>5</v>
      </c>
      <c r="B28" s="77"/>
      <c r="C28" s="19"/>
      <c r="D28" s="34"/>
      <c r="E28" s="26"/>
      <c r="F28" s="26"/>
      <c r="G28" s="28"/>
      <c r="H28" s="26"/>
      <c r="I28" s="26"/>
      <c r="J28" s="26"/>
      <c r="K28" s="26"/>
      <c r="L28" s="28"/>
      <c r="M28" s="26"/>
      <c r="N28" s="26"/>
      <c r="O28" s="26"/>
      <c r="P28" s="26"/>
      <c r="Q28" s="26"/>
      <c r="R28" s="26"/>
      <c r="S28" s="26"/>
    </row>
    <row r="29" spans="1:19" x14ac:dyDescent="0.15">
      <c r="A29" s="52" t="s">
        <v>50</v>
      </c>
      <c r="B29" s="78">
        <f>0.1%*B24</f>
        <v>300</v>
      </c>
      <c r="D29" s="35"/>
      <c r="E29" s="26"/>
      <c r="F29" s="26"/>
      <c r="G29" s="28" t="s">
        <v>80</v>
      </c>
      <c r="H29" s="26"/>
      <c r="I29" s="26"/>
      <c r="J29" s="26"/>
      <c r="K29" s="26"/>
      <c r="L29" s="28"/>
      <c r="M29" s="26"/>
      <c r="N29" s="26"/>
      <c r="O29" s="26"/>
      <c r="P29" s="26"/>
      <c r="Q29" s="26"/>
      <c r="R29" s="26"/>
      <c r="S29" s="26"/>
    </row>
    <row r="30" spans="1:19" x14ac:dyDescent="0.15">
      <c r="A30" s="52" t="s">
        <v>10</v>
      </c>
      <c r="B30" s="78">
        <f>2%*B24</f>
        <v>6000</v>
      </c>
      <c r="D30" s="35"/>
      <c r="E30" s="26"/>
      <c r="F30" s="26"/>
      <c r="G30" s="28" t="s">
        <v>22</v>
      </c>
      <c r="H30" s="26"/>
      <c r="I30" s="26"/>
      <c r="J30" s="26"/>
      <c r="K30" s="26"/>
      <c r="L30" s="28"/>
      <c r="M30" s="26"/>
      <c r="N30" s="26"/>
      <c r="O30" s="26"/>
      <c r="P30" s="26"/>
      <c r="Q30" s="26"/>
      <c r="R30" s="26"/>
      <c r="S30" s="26"/>
    </row>
    <row r="31" spans="1:19" x14ac:dyDescent="0.15">
      <c r="A31" s="53" t="s">
        <v>32</v>
      </c>
      <c r="B31" s="79">
        <f>1%*B24</f>
        <v>3000</v>
      </c>
      <c r="C31" s="20"/>
      <c r="D31" s="36"/>
      <c r="E31" s="26"/>
      <c r="F31" s="26"/>
      <c r="G31" s="28" t="s">
        <v>81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x14ac:dyDescent="0.15">
      <c r="A32" s="50" t="s">
        <v>53</v>
      </c>
      <c r="B32" s="80">
        <f>SUM(B29:B31)</f>
        <v>9300</v>
      </c>
      <c r="D32" s="26"/>
      <c r="E32" s="26"/>
      <c r="F32" s="26"/>
      <c r="G32" s="2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x14ac:dyDescent="0.15">
      <c r="A33" s="52"/>
      <c r="B33" s="78"/>
      <c r="D33" s="35"/>
      <c r="E33" s="26"/>
      <c r="F33" s="26"/>
      <c r="G33" s="2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15">
      <c r="A34" s="46" t="s">
        <v>52</v>
      </c>
      <c r="D34" s="29">
        <f>-SUM(B42,B49,B56,B60)</f>
        <v>-354900</v>
      </c>
      <c r="E34" s="26"/>
      <c r="F34" s="26"/>
      <c r="G34" s="2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x14ac:dyDescent="0.15">
      <c r="A35" s="54"/>
      <c r="B35" s="78"/>
      <c r="D35" s="26"/>
      <c r="E35" s="26"/>
      <c r="F35" s="26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x14ac:dyDescent="0.15">
      <c r="A36" s="47" t="s">
        <v>4</v>
      </c>
      <c r="B36" s="77"/>
      <c r="C36" s="19"/>
      <c r="D36" s="37"/>
      <c r="E36" s="26"/>
      <c r="F36" s="26"/>
      <c r="G36" s="28"/>
      <c r="H36" s="26"/>
      <c r="I36" s="26"/>
      <c r="J36" s="26"/>
      <c r="K36" s="26"/>
      <c r="L36" s="28"/>
      <c r="M36" s="26"/>
      <c r="N36" s="26"/>
      <c r="O36" s="26"/>
      <c r="P36" s="26"/>
      <c r="Q36" s="26"/>
      <c r="R36" s="26"/>
      <c r="S36" s="26"/>
    </row>
    <row r="37" spans="1:19" x14ac:dyDescent="0.15">
      <c r="A37" s="52" t="s">
        <v>55</v>
      </c>
      <c r="B37" s="78">
        <v>150000</v>
      </c>
      <c r="D37" s="35"/>
      <c r="E37" s="26"/>
      <c r="F37" s="26"/>
      <c r="G37" s="28" t="s">
        <v>37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x14ac:dyDescent="0.15">
      <c r="A38" s="52" t="s">
        <v>19</v>
      </c>
      <c r="B38" s="78">
        <v>20000</v>
      </c>
      <c r="D38" s="35"/>
      <c r="E38" s="26"/>
      <c r="F38" s="26"/>
      <c r="G38" s="28" t="s">
        <v>38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x14ac:dyDescent="0.15">
      <c r="A39" s="52" t="s">
        <v>8</v>
      </c>
      <c r="B39" s="78">
        <f>30000</f>
        <v>30000</v>
      </c>
      <c r="D39" s="35"/>
      <c r="E39" s="26"/>
      <c r="F39" s="26"/>
      <c r="G39" s="28" t="s">
        <v>30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15">
      <c r="A40" s="52" t="s">
        <v>35</v>
      </c>
      <c r="B40" s="78">
        <f>20000</f>
        <v>20000</v>
      </c>
      <c r="D40" s="35"/>
      <c r="E40" s="26"/>
      <c r="F40" s="26"/>
      <c r="G40" s="28" t="s">
        <v>36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15">
      <c r="A41" s="53" t="s">
        <v>34</v>
      </c>
      <c r="B41" s="79">
        <f>20000</f>
        <v>20000</v>
      </c>
      <c r="C41" s="20"/>
      <c r="D41" s="32"/>
      <c r="E41" s="26"/>
      <c r="F41" s="26"/>
      <c r="G41" s="28" t="s">
        <v>31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15">
      <c r="A42" s="50" t="s">
        <v>53</v>
      </c>
      <c r="B42" s="80">
        <f>SUM(B37:B41)</f>
        <v>240000</v>
      </c>
      <c r="D42" s="26"/>
      <c r="E42" s="26"/>
      <c r="F42" s="26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15">
      <c r="A43" s="45"/>
      <c r="B43" s="81"/>
      <c r="D43" s="35"/>
      <c r="E43" s="26"/>
      <c r="F43" s="26"/>
      <c r="G43" s="28"/>
      <c r="H43" s="26"/>
      <c r="I43" s="26"/>
      <c r="J43" s="26"/>
      <c r="K43" s="26"/>
      <c r="L43" s="28"/>
      <c r="M43" s="26"/>
      <c r="N43" s="26"/>
      <c r="O43" s="26"/>
      <c r="P43" s="26"/>
      <c r="Q43" s="26"/>
      <c r="R43" s="26"/>
      <c r="S43" s="26"/>
    </row>
    <row r="44" spans="1:19" x14ac:dyDescent="0.15">
      <c r="A44" s="47" t="s">
        <v>5</v>
      </c>
      <c r="B44" s="77"/>
      <c r="C44" s="19"/>
      <c r="D44" s="34"/>
      <c r="E44" s="26"/>
      <c r="F44" s="26"/>
      <c r="G44" s="28"/>
      <c r="H44" s="26"/>
      <c r="I44" s="26"/>
      <c r="J44" s="26"/>
      <c r="K44" s="26"/>
      <c r="L44" s="28"/>
      <c r="M44" s="26"/>
      <c r="N44" s="26"/>
      <c r="O44" s="26"/>
      <c r="P44" s="26"/>
      <c r="Q44" s="26"/>
      <c r="R44" s="26"/>
      <c r="S44" s="26"/>
    </row>
    <row r="45" spans="1:19" x14ac:dyDescent="0.15">
      <c r="A45" s="52" t="s">
        <v>57</v>
      </c>
      <c r="B45" s="78">
        <f>10%*B42</f>
        <v>24000</v>
      </c>
      <c r="D45" s="35"/>
      <c r="E45" s="26"/>
      <c r="F45" s="26"/>
      <c r="G45" s="28" t="s">
        <v>24</v>
      </c>
      <c r="H45" s="26"/>
      <c r="I45" s="26"/>
      <c r="J45" s="26"/>
      <c r="K45" s="26"/>
      <c r="L45" s="28"/>
      <c r="M45" s="26"/>
      <c r="N45" s="26"/>
      <c r="O45" s="26"/>
      <c r="P45" s="26"/>
      <c r="Q45" s="26"/>
      <c r="R45" s="26"/>
      <c r="S45" s="26"/>
    </row>
    <row r="46" spans="1:19" x14ac:dyDescent="0.15">
      <c r="A46" s="52" t="s">
        <v>58</v>
      </c>
      <c r="B46" s="78">
        <f>5%*B42</f>
        <v>12000</v>
      </c>
      <c r="D46" s="35"/>
      <c r="E46" s="26"/>
      <c r="F46" s="26"/>
      <c r="G46" s="28" t="s">
        <v>23</v>
      </c>
      <c r="H46" s="26"/>
      <c r="I46" s="26"/>
      <c r="J46" s="26"/>
      <c r="K46" s="26"/>
      <c r="L46" s="28"/>
      <c r="M46" s="26"/>
      <c r="N46" s="26"/>
      <c r="O46" s="26"/>
      <c r="P46" s="26"/>
      <c r="Q46" s="26"/>
      <c r="R46" s="26"/>
      <c r="S46" s="26"/>
    </row>
    <row r="47" spans="1:19" x14ac:dyDescent="0.15">
      <c r="A47" s="52" t="s">
        <v>25</v>
      </c>
      <c r="B47" s="78">
        <f>2%*B42</f>
        <v>4800</v>
      </c>
      <c r="D47" s="35"/>
      <c r="E47" s="26"/>
      <c r="F47" s="26"/>
      <c r="G47" s="28" t="s">
        <v>26</v>
      </c>
      <c r="H47" s="26"/>
      <c r="I47" s="26"/>
      <c r="J47" s="26"/>
      <c r="K47" s="26"/>
      <c r="L47" s="28"/>
      <c r="M47" s="26"/>
      <c r="N47" s="26"/>
      <c r="O47" s="26"/>
      <c r="P47" s="26"/>
      <c r="Q47" s="26"/>
      <c r="R47" s="26"/>
      <c r="S47" s="26"/>
    </row>
    <row r="48" spans="1:19" x14ac:dyDescent="0.15">
      <c r="A48" s="53" t="s">
        <v>32</v>
      </c>
      <c r="B48" s="79">
        <f t="shared" ref="B48" si="0">10%*B45</f>
        <v>2400</v>
      </c>
      <c r="C48" s="20"/>
      <c r="D48" s="32"/>
      <c r="E48" s="26"/>
      <c r="F48" s="26"/>
      <c r="G48" s="28" t="s">
        <v>24</v>
      </c>
      <c r="H48" s="26"/>
      <c r="I48" s="26"/>
      <c r="J48" s="26"/>
      <c r="K48" s="26"/>
      <c r="L48" s="28" t="s">
        <v>33</v>
      </c>
      <c r="M48" s="26"/>
      <c r="N48" s="26"/>
      <c r="O48" s="26"/>
      <c r="P48" s="26"/>
      <c r="Q48" s="26"/>
      <c r="R48" s="26"/>
      <c r="S48" s="26"/>
    </row>
    <row r="49" spans="1:19" x14ac:dyDescent="0.15">
      <c r="A49" s="50" t="s">
        <v>53</v>
      </c>
      <c r="B49" s="80">
        <f>SUM(B45:B48)</f>
        <v>43200</v>
      </c>
      <c r="D49" s="26"/>
      <c r="E49" s="26"/>
      <c r="F49" s="26"/>
      <c r="G49" s="27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x14ac:dyDescent="0.15">
      <c r="A50" s="52"/>
      <c r="B50" s="78"/>
      <c r="D50" s="26"/>
      <c r="E50" s="26"/>
      <c r="F50" s="26"/>
      <c r="G50" s="28"/>
      <c r="H50" s="26"/>
      <c r="I50" s="26"/>
      <c r="J50" s="26"/>
      <c r="K50" s="26"/>
      <c r="L50" s="28"/>
      <c r="M50" s="26"/>
      <c r="N50" s="26"/>
      <c r="O50" s="26"/>
      <c r="P50" s="26"/>
      <c r="Q50" s="26"/>
      <c r="R50" s="26"/>
      <c r="S50" s="26"/>
    </row>
    <row r="51" spans="1:19" x14ac:dyDescent="0.15">
      <c r="A51" s="47" t="s">
        <v>34</v>
      </c>
      <c r="B51" s="78"/>
      <c r="D51" s="38"/>
      <c r="E51" s="26"/>
      <c r="F51" s="26"/>
      <c r="G51" s="28"/>
      <c r="H51" s="26"/>
      <c r="I51" s="26"/>
      <c r="J51" s="26"/>
      <c r="K51" s="26"/>
      <c r="L51" s="28"/>
      <c r="M51" s="26"/>
      <c r="N51" s="26"/>
      <c r="O51" s="26"/>
      <c r="P51" s="26"/>
      <c r="Q51" s="26"/>
      <c r="R51" s="26"/>
      <c r="S51" s="26"/>
    </row>
    <row r="52" spans="1:19" x14ac:dyDescent="0.15">
      <c r="A52" s="52" t="s">
        <v>27</v>
      </c>
      <c r="B52" s="78">
        <v>1000</v>
      </c>
      <c r="D52" s="35"/>
      <c r="E52" s="26"/>
      <c r="F52" s="26"/>
      <c r="G52" s="28"/>
      <c r="H52" s="26"/>
      <c r="I52" s="26"/>
      <c r="J52" s="26"/>
      <c r="K52" s="26"/>
      <c r="L52" s="28"/>
      <c r="M52" s="26"/>
      <c r="N52" s="26"/>
      <c r="O52" s="26"/>
      <c r="P52" s="26"/>
      <c r="Q52" s="26"/>
      <c r="R52" s="26"/>
      <c r="S52" s="26"/>
    </row>
    <row r="53" spans="1:19" x14ac:dyDescent="0.15">
      <c r="A53" s="52" t="s">
        <v>11</v>
      </c>
      <c r="B53" s="78">
        <f>6000</f>
        <v>6000</v>
      </c>
      <c r="D53" s="35"/>
      <c r="E53" s="26"/>
      <c r="F53" s="26"/>
      <c r="G53" s="28"/>
      <c r="H53" s="26"/>
      <c r="I53" s="26"/>
      <c r="J53" s="26"/>
      <c r="K53" s="26"/>
      <c r="L53" s="28"/>
      <c r="M53" s="26"/>
      <c r="N53" s="26"/>
      <c r="O53" s="26"/>
      <c r="P53" s="26"/>
      <c r="Q53" s="26"/>
      <c r="R53" s="26"/>
      <c r="S53" s="26"/>
    </row>
    <row r="54" spans="1:19" x14ac:dyDescent="0.15">
      <c r="A54" s="52" t="s">
        <v>13</v>
      </c>
      <c r="B54" s="78">
        <v>1500</v>
      </c>
      <c r="D54" s="35"/>
      <c r="E54" s="26"/>
      <c r="F54" s="26"/>
      <c r="G54" s="28"/>
      <c r="H54" s="26"/>
      <c r="I54" s="26"/>
      <c r="J54" s="26"/>
      <c r="K54" s="26"/>
      <c r="L54" s="28"/>
      <c r="M54" s="26"/>
      <c r="N54" s="26"/>
      <c r="O54" s="26"/>
      <c r="P54" s="26"/>
      <c r="Q54" s="26"/>
      <c r="R54" s="26"/>
      <c r="S54" s="26"/>
    </row>
    <row r="55" spans="1:19" x14ac:dyDescent="0.15">
      <c r="A55" s="53" t="s">
        <v>12</v>
      </c>
      <c r="B55" s="79">
        <v>2000</v>
      </c>
      <c r="C55" s="20"/>
      <c r="D55" s="32"/>
      <c r="E55" s="26"/>
      <c r="F55" s="26"/>
      <c r="G55" s="28"/>
      <c r="H55" s="26"/>
      <c r="I55" s="26"/>
      <c r="J55" s="26"/>
      <c r="K55" s="26"/>
      <c r="L55" s="28"/>
      <c r="M55" s="26"/>
      <c r="N55" s="26"/>
      <c r="O55" s="26"/>
      <c r="P55" s="26"/>
      <c r="Q55" s="26"/>
      <c r="R55" s="26"/>
      <c r="S55" s="26"/>
    </row>
    <row r="56" spans="1:19" x14ac:dyDescent="0.15">
      <c r="A56" s="50" t="s">
        <v>53</v>
      </c>
      <c r="B56" s="80">
        <f>SUM(B49:B55)</f>
        <v>53700</v>
      </c>
      <c r="D56" s="26"/>
      <c r="E56" s="26"/>
      <c r="F56" s="26"/>
      <c r="G56" s="27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x14ac:dyDescent="0.15">
      <c r="A57" s="50"/>
      <c r="B57" s="78"/>
      <c r="D57" s="39"/>
      <c r="E57" s="26"/>
      <c r="F57" s="26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x14ac:dyDescent="0.15">
      <c r="A58" s="47" t="s">
        <v>6</v>
      </c>
      <c r="D58" s="26"/>
      <c r="E58" s="26"/>
      <c r="F58" s="26"/>
      <c r="G58" s="28"/>
      <c r="H58" s="26"/>
      <c r="I58" s="26"/>
      <c r="J58" s="26"/>
      <c r="K58" s="26"/>
      <c r="L58" s="28"/>
      <c r="M58" s="26"/>
      <c r="N58" s="26"/>
      <c r="O58" s="26"/>
      <c r="P58" s="26"/>
      <c r="Q58" s="26"/>
      <c r="R58" s="26"/>
      <c r="S58" s="26"/>
    </row>
    <row r="59" spans="1:19" x14ac:dyDescent="0.15">
      <c r="A59" s="53" t="s">
        <v>56</v>
      </c>
      <c r="B59" s="79">
        <f>7.5%*B42</f>
        <v>18000</v>
      </c>
      <c r="C59" s="20"/>
      <c r="D59" s="40"/>
      <c r="E59" s="26"/>
      <c r="F59" s="26"/>
      <c r="G59" s="28" t="s">
        <v>29</v>
      </c>
      <c r="H59" s="26"/>
      <c r="I59" s="26"/>
      <c r="J59" s="26"/>
      <c r="K59" s="26"/>
      <c r="L59" s="28"/>
      <c r="M59" s="26"/>
      <c r="N59" s="26"/>
      <c r="O59" s="26"/>
      <c r="P59" s="26"/>
      <c r="Q59" s="26"/>
      <c r="R59" s="26"/>
      <c r="S59" s="26"/>
    </row>
    <row r="60" spans="1:19" x14ac:dyDescent="0.15">
      <c r="A60" s="50" t="s">
        <v>53</v>
      </c>
      <c r="B60" s="80">
        <f>SUM(B59)</f>
        <v>18000</v>
      </c>
      <c r="D60" s="26"/>
      <c r="E60" s="26"/>
      <c r="F60" s="26"/>
      <c r="G60" s="27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x14ac:dyDescent="0.15">
      <c r="A61" s="50"/>
      <c r="B61" s="78"/>
      <c r="D61" s="39"/>
      <c r="E61" s="26"/>
      <c r="F61" s="26"/>
      <c r="G61" s="27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x14ac:dyDescent="0.15">
      <c r="A62" s="46" t="s">
        <v>68</v>
      </c>
      <c r="D62" s="29">
        <f>-SUM(B71)</f>
        <v>-116395.00000000001</v>
      </c>
      <c r="E62" s="26"/>
      <c r="F62" s="26"/>
      <c r="G62" s="28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x14ac:dyDescent="0.15">
      <c r="A63" s="46"/>
      <c r="D63" s="26"/>
      <c r="E63" s="29"/>
      <c r="F63" s="26"/>
      <c r="G63" s="28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x14ac:dyDescent="0.15">
      <c r="A64" s="47" t="s">
        <v>7</v>
      </c>
      <c r="B64" s="81"/>
      <c r="D64" s="35"/>
      <c r="E64" s="29"/>
      <c r="F64" s="26"/>
      <c r="G64" s="28"/>
      <c r="H64" s="26"/>
      <c r="I64" s="26"/>
      <c r="J64" s="26"/>
      <c r="K64" s="26"/>
      <c r="L64" s="28"/>
      <c r="M64" s="26"/>
      <c r="N64" s="26"/>
      <c r="O64" s="26"/>
      <c r="P64" s="26"/>
      <c r="Q64" s="26"/>
      <c r="R64" s="26"/>
      <c r="S64" s="26"/>
    </row>
    <row r="65" spans="1:19" x14ac:dyDescent="0.15">
      <c r="A65" s="52" t="s">
        <v>15</v>
      </c>
      <c r="B65" s="78">
        <f>0.65*E19*15*1.1%</f>
        <v>96525.000000000015</v>
      </c>
      <c r="D65" s="35"/>
      <c r="E65" s="26"/>
      <c r="F65" s="26"/>
      <c r="G65" s="28" t="s">
        <v>82</v>
      </c>
      <c r="H65" s="26"/>
      <c r="I65" s="26"/>
      <c r="J65" s="26"/>
      <c r="K65" s="26"/>
      <c r="L65" s="28"/>
      <c r="M65" s="26"/>
      <c r="N65" s="26"/>
      <c r="O65" s="26"/>
      <c r="P65" s="26"/>
      <c r="Q65" s="26"/>
      <c r="R65" s="26"/>
      <c r="S65" s="26"/>
    </row>
    <row r="66" spans="1:19" x14ac:dyDescent="0.15">
      <c r="A66" s="52" t="s">
        <v>9</v>
      </c>
      <c r="B66" s="78">
        <f>0.65*E19*0.2%</f>
        <v>1170</v>
      </c>
      <c r="D66" s="35"/>
      <c r="E66" s="26"/>
      <c r="F66" s="26"/>
      <c r="G66" s="28" t="s">
        <v>83</v>
      </c>
      <c r="H66" s="26"/>
      <c r="I66" s="26"/>
      <c r="J66" s="26"/>
      <c r="K66" s="26"/>
      <c r="L66" s="28"/>
      <c r="M66" s="26"/>
      <c r="N66" s="26"/>
      <c r="O66" s="26"/>
      <c r="P66" s="26"/>
      <c r="Q66" s="26"/>
      <c r="R66" s="26"/>
      <c r="S66" s="26"/>
    </row>
    <row r="67" spans="1:19" x14ac:dyDescent="0.15">
      <c r="A67" s="52" t="s">
        <v>18</v>
      </c>
      <c r="B67" s="78">
        <f>0.65*E19*2%</f>
        <v>11700</v>
      </c>
      <c r="D67" s="35"/>
      <c r="E67" s="26"/>
      <c r="F67" s="26"/>
      <c r="G67" s="28" t="s">
        <v>21</v>
      </c>
      <c r="H67" s="26"/>
      <c r="I67" s="26"/>
      <c r="J67" s="26"/>
      <c r="K67" s="26"/>
      <c r="L67" s="28"/>
      <c r="M67" s="26"/>
      <c r="N67" s="26"/>
      <c r="O67" s="26"/>
      <c r="P67" s="26"/>
      <c r="Q67" s="26"/>
      <c r="R67" s="26"/>
      <c r="S67" s="26"/>
    </row>
    <row r="68" spans="1:19" x14ac:dyDescent="0.15">
      <c r="A68" s="52" t="s">
        <v>20</v>
      </c>
      <c r="B68" s="78">
        <f>2000</f>
        <v>2000</v>
      </c>
      <c r="D68" s="35"/>
      <c r="E68" s="26"/>
      <c r="F68" s="26"/>
      <c r="G68" s="28" t="s">
        <v>28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x14ac:dyDescent="0.15">
      <c r="A69" s="52" t="s">
        <v>16</v>
      </c>
      <c r="B69" s="78">
        <v>2000</v>
      </c>
      <c r="D69" s="35"/>
      <c r="E69" s="26"/>
      <c r="F69" s="26"/>
      <c r="G69" s="27"/>
      <c r="H69" s="26"/>
      <c r="I69" s="26"/>
      <c r="J69" s="26"/>
      <c r="K69" s="26"/>
      <c r="L69" s="28"/>
      <c r="M69" s="26"/>
      <c r="N69" s="26"/>
      <c r="O69" s="26"/>
      <c r="P69" s="26"/>
      <c r="Q69" s="26"/>
      <c r="R69" s="26"/>
      <c r="S69" s="26"/>
    </row>
    <row r="70" spans="1:19" x14ac:dyDescent="0.15">
      <c r="A70" s="53" t="s">
        <v>17</v>
      </c>
      <c r="B70" s="79">
        <f>3000</f>
        <v>3000</v>
      </c>
      <c r="C70" s="20"/>
      <c r="D70" s="40"/>
      <c r="E70" s="26"/>
      <c r="F70" s="26"/>
      <c r="G70" s="27"/>
      <c r="H70" s="26"/>
      <c r="I70" s="26"/>
      <c r="J70" s="26"/>
      <c r="K70" s="26"/>
      <c r="L70" s="28"/>
      <c r="M70" s="26"/>
      <c r="N70" s="26"/>
      <c r="O70" s="26"/>
      <c r="P70" s="26"/>
      <c r="Q70" s="26"/>
      <c r="R70" s="26"/>
      <c r="S70" s="26"/>
    </row>
    <row r="71" spans="1:19" x14ac:dyDescent="0.15">
      <c r="A71" s="50" t="s">
        <v>53</v>
      </c>
      <c r="B71" s="80">
        <f>SUM(B65:B70)</f>
        <v>116395.00000000001</v>
      </c>
      <c r="D71" s="26"/>
      <c r="E71" s="26"/>
      <c r="F71" s="26"/>
      <c r="G71" s="27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x14ac:dyDescent="0.15">
      <c r="A72" s="45"/>
      <c r="B72" s="81"/>
      <c r="D72" s="35"/>
      <c r="E72" s="26"/>
      <c r="F72" s="26"/>
      <c r="G72" s="27"/>
      <c r="H72" s="26"/>
      <c r="I72" s="26"/>
      <c r="J72" s="26"/>
      <c r="K72" s="26"/>
      <c r="L72" s="28"/>
      <c r="M72" s="26"/>
      <c r="N72" s="26"/>
      <c r="O72" s="26"/>
      <c r="P72" s="26"/>
      <c r="Q72" s="26"/>
      <c r="R72" s="26"/>
      <c r="S72" s="26"/>
    </row>
    <row r="73" spans="1:19" x14ac:dyDescent="0.15">
      <c r="A73" s="46" t="s">
        <v>59</v>
      </c>
      <c r="D73" s="29">
        <f>B80</f>
        <v>22950</v>
      </c>
      <c r="E73" s="26"/>
      <c r="F73" s="26"/>
      <c r="G73" s="28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x14ac:dyDescent="0.15">
      <c r="A74" s="45"/>
      <c r="B74" s="81"/>
      <c r="D74" s="38"/>
      <c r="E74" s="26"/>
      <c r="F74" s="26"/>
      <c r="G74" s="28"/>
      <c r="H74" s="26"/>
      <c r="I74" s="26"/>
      <c r="J74" s="26"/>
      <c r="K74" s="26"/>
      <c r="L74" s="28"/>
      <c r="M74" s="26"/>
      <c r="N74" s="26"/>
      <c r="O74" s="26"/>
      <c r="P74" s="26"/>
      <c r="Q74" s="26"/>
      <c r="R74" s="26"/>
      <c r="S74" s="26"/>
    </row>
    <row r="75" spans="1:19" x14ac:dyDescent="0.15">
      <c r="A75" s="47" t="s">
        <v>70</v>
      </c>
      <c r="B75" s="77"/>
      <c r="C75" s="19"/>
      <c r="D75" s="34"/>
      <c r="E75" s="26"/>
      <c r="F75" s="26"/>
      <c r="G75" s="28"/>
      <c r="H75" s="26"/>
      <c r="I75" s="26"/>
      <c r="J75" s="26"/>
      <c r="K75" s="26"/>
      <c r="L75" s="28"/>
      <c r="M75" s="26"/>
      <c r="N75" s="26"/>
      <c r="O75" s="26"/>
      <c r="P75" s="26"/>
      <c r="Q75" s="26"/>
      <c r="R75" s="26"/>
      <c r="S75" s="26"/>
    </row>
    <row r="76" spans="1:19" x14ac:dyDescent="0.15">
      <c r="A76" s="52" t="s">
        <v>61</v>
      </c>
      <c r="B76" s="78">
        <f>0.2%*$E$19</f>
        <v>1800</v>
      </c>
      <c r="D76" s="35"/>
      <c r="E76" s="26"/>
      <c r="F76" s="26"/>
      <c r="G76" s="28" t="s">
        <v>64</v>
      </c>
      <c r="H76" s="26"/>
      <c r="I76" s="26"/>
      <c r="J76" s="26"/>
      <c r="K76" s="26"/>
      <c r="L76" s="28"/>
      <c r="M76" s="26"/>
      <c r="N76" s="26"/>
      <c r="O76" s="26"/>
      <c r="P76" s="26"/>
      <c r="Q76" s="26"/>
      <c r="R76" s="26"/>
      <c r="S76" s="26"/>
    </row>
    <row r="77" spans="1:19" x14ac:dyDescent="0.15">
      <c r="A77" s="52" t="s">
        <v>65</v>
      </c>
      <c r="B77" s="78">
        <f>0.35%*$E$19</f>
        <v>3149.9999999999995</v>
      </c>
      <c r="D77" s="35"/>
      <c r="E77" s="26"/>
      <c r="F77" s="26"/>
      <c r="G77" s="28" t="s">
        <v>66</v>
      </c>
      <c r="H77" s="26"/>
      <c r="I77" s="26"/>
      <c r="J77" s="26"/>
      <c r="K77" s="26"/>
      <c r="L77" s="28"/>
      <c r="M77" s="26"/>
      <c r="N77" s="26"/>
      <c r="O77" s="26"/>
      <c r="P77" s="26"/>
      <c r="Q77" s="26"/>
      <c r="R77" s="26"/>
      <c r="S77" s="26"/>
    </row>
    <row r="78" spans="1:19" x14ac:dyDescent="0.15">
      <c r="A78" s="52" t="s">
        <v>62</v>
      </c>
      <c r="B78" s="78">
        <f>1.5%*$E$19</f>
        <v>13500</v>
      </c>
      <c r="D78" s="35"/>
      <c r="E78" s="26"/>
      <c r="F78" s="26"/>
      <c r="G78" s="28" t="s">
        <v>63</v>
      </c>
      <c r="H78" s="26"/>
      <c r="I78" s="26"/>
      <c r="J78" s="26"/>
      <c r="K78" s="26"/>
      <c r="L78" s="28"/>
      <c r="M78" s="26"/>
      <c r="N78" s="26"/>
      <c r="O78" s="26"/>
      <c r="P78" s="26"/>
      <c r="Q78" s="26"/>
      <c r="R78" s="26"/>
      <c r="S78" s="26"/>
    </row>
    <row r="79" spans="1:19" x14ac:dyDescent="0.15">
      <c r="A79" s="53" t="s">
        <v>60</v>
      </c>
      <c r="B79" s="79">
        <f>0.5%*$E$19</f>
        <v>4500</v>
      </c>
      <c r="C79" s="20"/>
      <c r="D79" s="36"/>
      <c r="E79" s="26"/>
      <c r="F79" s="26"/>
      <c r="G79" s="28" t="s">
        <v>67</v>
      </c>
      <c r="H79" s="26"/>
      <c r="I79" s="26"/>
      <c r="J79" s="26"/>
      <c r="K79" s="26"/>
      <c r="L79" s="28"/>
      <c r="M79" s="26"/>
      <c r="N79" s="26"/>
      <c r="O79" s="26"/>
      <c r="P79" s="26"/>
      <c r="Q79" s="26"/>
      <c r="R79" s="26"/>
      <c r="S79" s="26"/>
    </row>
    <row r="80" spans="1:19" x14ac:dyDescent="0.15">
      <c r="A80" s="50" t="s">
        <v>53</v>
      </c>
      <c r="B80" s="80">
        <f>SUM(B76:B79)</f>
        <v>22950</v>
      </c>
      <c r="D80" s="26"/>
      <c r="E80" s="26"/>
      <c r="F80" s="26"/>
      <c r="G80" s="27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x14ac:dyDescent="0.15">
      <c r="A81" s="52"/>
      <c r="B81" s="78"/>
      <c r="D81" s="35"/>
      <c r="E81" s="26"/>
      <c r="F81" s="26"/>
      <c r="G81" s="28"/>
      <c r="H81" s="26"/>
      <c r="I81" s="26"/>
      <c r="J81" s="26"/>
      <c r="K81" s="26"/>
      <c r="L81" s="28"/>
      <c r="M81" s="26"/>
      <c r="N81" s="26"/>
      <c r="O81" s="26"/>
      <c r="P81" s="26"/>
      <c r="Q81" s="26"/>
      <c r="R81" s="26"/>
      <c r="S81" s="26"/>
    </row>
    <row r="82" spans="1:19" x14ac:dyDescent="0.15">
      <c r="A82" s="44" t="s">
        <v>69</v>
      </c>
      <c r="B82" s="75"/>
      <c r="C82" s="17"/>
      <c r="D82" s="24"/>
      <c r="E82" s="25">
        <f>SUM(D73,D62,D34,D21)</f>
        <v>-762645</v>
      </c>
      <c r="F82" s="26"/>
      <c r="G82" s="27"/>
      <c r="H82" s="26"/>
      <c r="I82" s="26"/>
      <c r="J82" s="26"/>
      <c r="K82" s="26"/>
      <c r="L82" s="28"/>
      <c r="M82" s="26"/>
      <c r="N82" s="26"/>
      <c r="O82" s="26"/>
      <c r="P82" s="26"/>
      <c r="Q82" s="26"/>
      <c r="R82" s="26"/>
      <c r="S82" s="26"/>
    </row>
    <row r="83" spans="1:19" x14ac:dyDescent="0.15">
      <c r="A83" s="45"/>
      <c r="B83" s="81"/>
      <c r="D83" s="38"/>
      <c r="E83" s="26"/>
      <c r="F83" s="26"/>
      <c r="G83" s="27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7.25" customHeight="1" x14ac:dyDescent="0.15">
      <c r="A84" s="55" t="s">
        <v>14</v>
      </c>
      <c r="B84" s="82"/>
      <c r="C84" s="21"/>
      <c r="D84" s="41"/>
      <c r="E84" s="42">
        <f>E19+E82</f>
        <v>137355</v>
      </c>
      <c r="F84" s="26"/>
      <c r="G84" s="27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</sheetData>
  <sheetProtection algorithmName="SHA-512" hashValue="bU391ptYdd7vdbtM8JKQUQch0tjuMQL67qCOhz+sA4Gx1ttlh/8eJbPSdmlwhbaZV9t0UZj01sSke4zJzhxQhA==" saltValue="363ChYxaJJhdnuDroHrt1A==" spinCount="100000" sheet="1" objects="1" scenarios="1" selectLockedCells="1"/>
  <mergeCells count="3">
    <mergeCell ref="D6:E6"/>
    <mergeCell ref="A6:B6"/>
    <mergeCell ref="A17:E17"/>
  </mergeCells>
  <dataValidations count="1">
    <dataValidation type="list" allowBlank="1" showInputMessage="1" showErrorMessage="1" sqref="B13" xr:uid="{8F9B29B1-D189-4CD0-9B6C-29D556B16652}">
      <formula1>"6,7,8,9,10,11,12,13,14,15,16,17,18"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620C-50B3-40D2-8D75-62A2DCD453B7}">
  <dimension ref="B1:M8"/>
  <sheetViews>
    <sheetView workbookViewId="0">
      <selection activeCell="B26" sqref="B26"/>
    </sheetView>
  </sheetViews>
  <sheetFormatPr baseColWidth="10" defaultColWidth="8.83203125" defaultRowHeight="15" x14ac:dyDescent="0.2"/>
  <cols>
    <col min="2" max="3" width="10.5" bestFit="1" customWidth="1"/>
    <col min="4" max="4" width="11.5" bestFit="1" customWidth="1"/>
    <col min="5" max="5" width="10.5" bestFit="1" customWidth="1"/>
    <col min="10" max="11" width="10.5" bestFit="1" customWidth="1"/>
  </cols>
  <sheetData>
    <row r="1" spans="2:13" x14ac:dyDescent="0.2">
      <c r="I1" s="1" t="s">
        <v>39</v>
      </c>
      <c r="J1" s="2">
        <v>0</v>
      </c>
      <c r="K1" s="2">
        <v>125000</v>
      </c>
      <c r="L1" s="3">
        <v>0</v>
      </c>
    </row>
    <row r="2" spans="2:13" x14ac:dyDescent="0.2">
      <c r="I2" s="4"/>
      <c r="J2" s="5">
        <v>125001</v>
      </c>
      <c r="K2" s="5">
        <v>250000</v>
      </c>
      <c r="L2" s="3">
        <v>0.02</v>
      </c>
    </row>
    <row r="3" spans="2:13" x14ac:dyDescent="0.2">
      <c r="I3" s="1"/>
      <c r="J3" s="2">
        <v>250001</v>
      </c>
      <c r="K3" s="2">
        <v>925000</v>
      </c>
      <c r="L3" s="3">
        <v>0.05</v>
      </c>
      <c r="M3" s="6" t="s">
        <v>76</v>
      </c>
    </row>
    <row r="4" spans="2:13" x14ac:dyDescent="0.2">
      <c r="I4" s="1"/>
      <c r="J4" s="2">
        <v>925001</v>
      </c>
      <c r="K4" s="2">
        <v>1500000</v>
      </c>
      <c r="L4" s="3">
        <v>0.1</v>
      </c>
      <c r="M4" s="6" t="s">
        <v>77</v>
      </c>
    </row>
    <row r="5" spans="2:13" x14ac:dyDescent="0.2">
      <c r="I5" s="1"/>
      <c r="J5" s="2">
        <v>1500001</v>
      </c>
      <c r="K5" s="2"/>
      <c r="L5" s="3">
        <v>0.12</v>
      </c>
      <c r="M5" s="6" t="s">
        <v>78</v>
      </c>
    </row>
    <row r="7" spans="2:13" x14ac:dyDescent="0.2">
      <c r="B7" s="5" t="s">
        <v>79</v>
      </c>
      <c r="C7" s="5">
        <f>IF('Dev Appraisal '!B24&lt;J2,0,IF('Dev Appraisal '!B24&lt;J3,('Dev Appraisal '!B24-K1)*0.02,IF('Dev Appraisal '!B24&lt;J4,('Dev Appraisal '!B24-K2)*0.05+2500,IF('Dev Appraisal '!B24&lt;J5,('Dev Appraisal '!B24-K3)*0.1+36250,('Dev Appraisal '!B24-K4)*0.12+93750))))</f>
        <v>5000</v>
      </c>
      <c r="D7" s="7"/>
      <c r="E7" s="8"/>
    </row>
    <row r="8" spans="2:13" x14ac:dyDescent="0.2">
      <c r="B8" s="6"/>
      <c r="C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Dev Appraisal </vt:lpstr>
      <vt:lpstr>Sheet1</vt:lpstr>
      <vt:lpstr>'Dev Appraisal '!Print_Area</vt:lpstr>
      <vt:lpstr>Purchase_price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| PIVOT</dc:creator>
  <cp:lastModifiedBy>Info</cp:lastModifiedBy>
  <cp:lastPrinted>2019-04-01T12:28:10Z</cp:lastPrinted>
  <dcterms:created xsi:type="dcterms:W3CDTF">2019-03-21T11:07:34Z</dcterms:created>
  <dcterms:modified xsi:type="dcterms:W3CDTF">2019-04-11T09:53:45Z</dcterms:modified>
</cp:coreProperties>
</file>